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27795" windowHeight="12585"/>
  </bookViews>
  <sheets>
    <sheet name="Just scale" sheetId="1" r:id="rId1"/>
    <sheet name="Pythagoreisk" sheetId="2" r:id="rId2"/>
    <sheet name="Tempereret" sheetId="3" r:id="rId3"/>
  </sheets>
  <calcPr calcId="125725"/>
</workbook>
</file>

<file path=xl/calcChain.xml><?xml version="1.0" encoding="utf-8"?>
<calcChain xmlns="http://schemas.openxmlformats.org/spreadsheetml/2006/main">
  <c r="G42" i="2"/>
  <c r="U8"/>
  <c r="V4"/>
  <c r="V8" s="1"/>
  <c r="X4"/>
  <c r="AA8"/>
  <c r="Q8"/>
  <c r="Q4"/>
  <c r="C42"/>
  <c r="C41"/>
  <c r="K26"/>
  <c r="E32"/>
  <c r="E41"/>
  <c r="E35"/>
  <c r="E36"/>
  <c r="E3"/>
  <c r="E38"/>
  <c r="E39"/>
  <c r="G38"/>
  <c r="E33"/>
  <c r="E29"/>
  <c r="E30"/>
  <c r="E27"/>
  <c r="E26"/>
  <c r="G26" s="1"/>
  <c r="F53" i="1"/>
  <c r="P14" i="2"/>
  <c r="M20"/>
  <c r="K84"/>
  <c r="K81"/>
  <c r="K78"/>
  <c r="K29"/>
  <c r="K5"/>
  <c r="K8"/>
  <c r="K11"/>
  <c r="K14"/>
  <c r="K17"/>
  <c r="K20"/>
  <c r="K23"/>
  <c r="Z4"/>
  <c r="AA4"/>
  <c r="E85"/>
  <c r="Y4"/>
  <c r="E82"/>
  <c r="E84"/>
  <c r="G84" s="1"/>
  <c r="E81"/>
  <c r="E79"/>
  <c r="E78"/>
  <c r="G78" s="1"/>
  <c r="Z3" s="1"/>
  <c r="S4"/>
  <c r="U4"/>
  <c r="T4"/>
  <c r="W4"/>
  <c r="G35"/>
  <c r="Q3" s="1"/>
  <c r="G2"/>
  <c r="V3" s="1"/>
  <c r="E2"/>
  <c r="Q5"/>
  <c r="R5" s="1"/>
  <c r="G23"/>
  <c r="U3" s="1"/>
  <c r="E6"/>
  <c r="G5" s="1"/>
  <c r="AA3" s="1"/>
  <c r="E5"/>
  <c r="E9"/>
  <c r="G11"/>
  <c r="Y3" s="1"/>
  <c r="E8"/>
  <c r="G14"/>
  <c r="R3" s="1"/>
  <c r="R4" s="1"/>
  <c r="G17"/>
  <c r="W3" s="1"/>
  <c r="M35" l="1"/>
  <c r="R8"/>
  <c r="G29"/>
  <c r="S3" s="1"/>
  <c r="G32"/>
  <c r="X3" s="1"/>
  <c r="X9" s="1"/>
  <c r="G8"/>
  <c r="T3" s="1"/>
  <c r="G81"/>
  <c r="S5"/>
  <c r="M29" s="1"/>
  <c r="R9"/>
  <c r="M14"/>
  <c r="Q9"/>
  <c r="AB3"/>
  <c r="I53" i="1"/>
  <c r="F48"/>
  <c r="F38"/>
  <c r="L31"/>
  <c r="I31"/>
  <c r="I34" s="1"/>
  <c r="I22"/>
  <c r="F22"/>
  <c r="F25" s="1"/>
  <c r="D13"/>
  <c r="D15"/>
  <c r="P13"/>
  <c r="F13"/>
  <c r="H13"/>
  <c r="J13"/>
  <c r="L13"/>
  <c r="N13"/>
  <c r="F15"/>
  <c r="P15"/>
  <c r="N15"/>
  <c r="L15"/>
  <c r="J15"/>
  <c r="H15"/>
  <c r="F51" l="1"/>
  <c r="F52" s="1"/>
  <c r="T5" i="2"/>
  <c r="S9"/>
  <c r="S8"/>
  <c r="U5" l="1"/>
  <c r="M81" s="1"/>
  <c r="T9"/>
  <c r="M8"/>
  <c r="T8"/>
  <c r="V5" l="1"/>
  <c r="M2" s="1"/>
  <c r="X8"/>
  <c r="M23"/>
  <c r="U9"/>
  <c r="W5" l="1"/>
  <c r="V9"/>
  <c r="X5" l="1"/>
  <c r="M32" s="1"/>
  <c r="M17"/>
  <c r="W8"/>
  <c r="W9"/>
  <c r="Y5" l="1"/>
  <c r="Z5" l="1"/>
  <c r="Y8"/>
  <c r="M11"/>
  <c r="Y9"/>
  <c r="M78" l="1"/>
  <c r="M26"/>
  <c r="AA5"/>
  <c r="M5" s="1"/>
  <c r="Z9"/>
  <c r="Z8"/>
  <c r="AB5" l="1"/>
  <c r="M84" s="1"/>
  <c r="AA9"/>
  <c r="AB9" l="1"/>
  <c r="P15" s="1"/>
  <c r="AB8"/>
</calcChain>
</file>

<file path=xl/comments1.xml><?xml version="1.0" encoding="utf-8"?>
<comments xmlns="http://schemas.openxmlformats.org/spreadsheetml/2006/main">
  <authors>
    <author>Amicom Admin</author>
  </authors>
  <commentList>
    <comment ref="I32" authorId="0">
      <text>
        <r>
          <rPr>
            <b/>
            <sz val="9"/>
            <color indexed="81"/>
            <rFont val="Tahoma"/>
            <charset val="1"/>
          </rPr>
          <t>Ole Q:
8 harmoniske mod 5 harmoniske giver en lille sekst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38" authorId="0">
      <text>
        <r>
          <rPr>
            <b/>
            <sz val="9"/>
            <color indexed="81"/>
            <rFont val="Tahoma"/>
            <charset val="1"/>
          </rPr>
          <t xml:space="preserve">Ole Q:
Fra Wikipedia
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<sst xmlns="http://schemas.openxmlformats.org/spreadsheetml/2006/main" count="237" uniqueCount="162">
  <si>
    <t>Sekund</t>
  </si>
  <si>
    <t>stor terts</t>
  </si>
  <si>
    <t>Kvart</t>
  </si>
  <si>
    <t>Kvint</t>
  </si>
  <si>
    <t>Sekst</t>
  </si>
  <si>
    <t>Septim</t>
  </si>
  <si>
    <t>Oktav</t>
  </si>
  <si>
    <t>5*8</t>
  </si>
  <si>
    <t>4*8</t>
  </si>
  <si>
    <t>3*9</t>
  </si>
  <si>
    <t>9*10</t>
  </si>
  <si>
    <t>8*9</t>
  </si>
  <si>
    <t>9*10*16</t>
  </si>
  <si>
    <t>8*9*15</t>
  </si>
  <si>
    <t>9*10*16*9</t>
  </si>
  <si>
    <t>8*9*15*8</t>
  </si>
  <si>
    <t>9*10*16*9*10</t>
  </si>
  <si>
    <t>8*9*15*8*9</t>
  </si>
  <si>
    <t>Prim</t>
  </si>
  <si>
    <t>Frekvens</t>
  </si>
  <si>
    <t>3*4</t>
  </si>
  <si>
    <t>2*5</t>
  </si>
  <si>
    <t>Lille terts</t>
  </si>
  <si>
    <t>Strenglængde</t>
  </si>
  <si>
    <t>Stor terts</t>
  </si>
  <si>
    <t>5*3</t>
  </si>
  <si>
    <t>15*2</t>
  </si>
  <si>
    <t>8*3</t>
  </si>
  <si>
    <t xml:space="preserve">Burde være </t>
  </si>
  <si>
    <t>3*8</t>
  </si>
  <si>
    <t>2*9</t>
  </si>
  <si>
    <t>Burde være</t>
  </si>
  <si>
    <t>15*3</t>
  </si>
  <si>
    <t>8*4</t>
  </si>
  <si>
    <t>15*8</t>
  </si>
  <si>
    <t>"Tritonus"</t>
  </si>
  <si>
    <t>(lille terts)</t>
  </si>
  <si>
    <t>Brøk udregnet</t>
  </si>
  <si>
    <t>2*3</t>
  </si>
  <si>
    <t>1*5</t>
  </si>
  <si>
    <t>5*4</t>
  </si>
  <si>
    <t>3*3</t>
  </si>
  <si>
    <t>330 mm</t>
  </si>
  <si>
    <t>Violinstreng</t>
  </si>
  <si>
    <t>2*2</t>
  </si>
  <si>
    <t>D-E streng (2 kvinter)</t>
  </si>
  <si>
    <t>Forskel</t>
  </si>
  <si>
    <t>mm</t>
  </si>
  <si>
    <t>septim - kvart</t>
  </si>
  <si>
    <t>stor heltone</t>
  </si>
  <si>
    <t>Kvart - Sekund</t>
  </si>
  <si>
    <t>Kvint - Terts</t>
  </si>
  <si>
    <t>Sekst - Kvart</t>
  </si>
  <si>
    <t>Septim -Kvint</t>
  </si>
  <si>
    <t>Septim - Sekund</t>
  </si>
  <si>
    <t>Sekst - Sekund</t>
  </si>
  <si>
    <t>Kvint - Sekund</t>
  </si>
  <si>
    <t>5*6</t>
  </si>
  <si>
    <t>4*5</t>
  </si>
  <si>
    <t>Stor + Lile Terts</t>
  </si>
  <si>
    <t>Oktav - Sekst</t>
  </si>
  <si>
    <t>Kvart + Kvint</t>
  </si>
  <si>
    <t>4*3</t>
  </si>
  <si>
    <t>3*2</t>
  </si>
  <si>
    <t>D til H</t>
  </si>
  <si>
    <t>H til E</t>
  </si>
  <si>
    <t>Første fingeren på A-strengen skal sættes 4 mm lavere når man spiller med D-strengen (ren sekst)  end når man spiller med E-strengen (ren kvart)</t>
  </si>
  <si>
    <t>Konklusion - på en renstemt  violin (f.eks. A=440 Hz E=660 Hz D=293.3 Hz)</t>
  </si>
  <si>
    <t>Ved at dividere de to tal får man 80/81 som også kaldes Didimos' komma</t>
  </si>
  <si>
    <t>C</t>
  </si>
  <si>
    <t>G</t>
  </si>
  <si>
    <t>D</t>
  </si>
  <si>
    <t>A</t>
  </si>
  <si>
    <t>E</t>
  </si>
  <si>
    <t>H</t>
  </si>
  <si>
    <t>F#</t>
  </si>
  <si>
    <t>Db</t>
  </si>
  <si>
    <t>Ab</t>
  </si>
  <si>
    <t>Eb</t>
  </si>
  <si>
    <t>Bb</t>
  </si>
  <si>
    <t>F</t>
  </si>
  <si>
    <t>2*2*2</t>
  </si>
  <si>
    <t>3*3*3</t>
  </si>
  <si>
    <t>3*3*3*3</t>
  </si>
  <si>
    <t>2*2*2*2</t>
  </si>
  <si>
    <t>2*2*2*2*2*2</t>
  </si>
  <si>
    <t>3*3*3*3*3</t>
  </si>
  <si>
    <t>3*3*3*3*3*3</t>
  </si>
  <si>
    <t>Pytagoreisk</t>
  </si>
  <si>
    <t>Tempereret</t>
  </si>
  <si>
    <t>Forskel i Cent</t>
  </si>
  <si>
    <t>2*2*2*2*2*2*2</t>
  </si>
  <si>
    <t>2*2*2*2*2*2*2*2*2</t>
  </si>
  <si>
    <t>3*3*3*3*3*3*3</t>
  </si>
  <si>
    <t>3*3*3*3*3*3*3*3</t>
  </si>
  <si>
    <t>3*3*3*3*3*3*3*3*3*3</t>
  </si>
  <si>
    <t>2*2*2*2*2*2*2*2*2*2*2*2*2*2*2</t>
  </si>
  <si>
    <t>3*3*3*3*3*3*3*3*3*3*3</t>
  </si>
  <si>
    <t>3*3*3*3*3*3*3*3*3*3*3*3</t>
  </si>
  <si>
    <t>2*2*2*2*2*2*2*2*2*2*2*2*2*2*2*2</t>
  </si>
  <si>
    <t>2*2*2*2*2*2*2*2*2*2*2*2*2*2*2*2*2*2*2</t>
  </si>
  <si>
    <t>Stor Terts</t>
  </si>
  <si>
    <t>Tritonus</t>
  </si>
  <si>
    <t>Stor Sekst</t>
  </si>
  <si>
    <t>Lille septim</t>
  </si>
  <si>
    <t xml:space="preserve">Stor septim </t>
  </si>
  <si>
    <t>Lille Sekst</t>
  </si>
  <si>
    <t>Lille Terts</t>
  </si>
  <si>
    <t>1 cent = 1/100 af en halv tone</t>
  </si>
  <si>
    <t>Der 1200 cent på en oktav</t>
  </si>
  <si>
    <t>Kvart + Sekst</t>
  </si>
  <si>
    <t>Didimos komma</t>
  </si>
  <si>
    <t>Cent</t>
  </si>
  <si>
    <t>Pythagoras komma</t>
  </si>
  <si>
    <t>Forskellen på H mod D-Streng og H mod E-streng</t>
  </si>
  <si>
    <t>A-Streng</t>
  </si>
  <si>
    <t>E-streng</t>
  </si>
  <si>
    <t>G-streng</t>
  </si>
  <si>
    <t>D-streng</t>
  </si>
  <si>
    <t>(Juster lidt højere end tuneren for at stemme rent)</t>
  </si>
  <si>
    <t>(Juster lidt lavere end tuneren for at stemme rent)</t>
  </si>
  <si>
    <t xml:space="preserve">Strenglængde </t>
  </si>
  <si>
    <t>der hvor fingeren sidder</t>
  </si>
  <si>
    <t>Den der svinger</t>
  </si>
  <si>
    <t>Stor septim</t>
  </si>
  <si>
    <t>lille heltone</t>
  </si>
  <si>
    <t>9*10*16*9*10*9</t>
  </si>
  <si>
    <t>8*9*15*8*9*8</t>
  </si>
  <si>
    <t>9*10*16*9*10*9*16</t>
  </si>
  <si>
    <t>8*9*15*8*9*8*15</t>
  </si>
  <si>
    <t>Epimorisk</t>
  </si>
  <si>
    <t>9*9</t>
  </si>
  <si>
    <t>4*20</t>
  </si>
  <si>
    <t>Pythagoræisk</t>
  </si>
  <si>
    <t>Do</t>
  </si>
  <si>
    <t>Re</t>
  </si>
  <si>
    <t>Mi</t>
  </si>
  <si>
    <t>Fa</t>
  </si>
  <si>
    <t>So</t>
  </si>
  <si>
    <t>La</t>
  </si>
  <si>
    <t>Ti</t>
  </si>
  <si>
    <t>2*2*2*2*2</t>
  </si>
  <si>
    <t>Gb</t>
  </si>
  <si>
    <t>2*2*2*2*2*2*2*2*2*2</t>
  </si>
  <si>
    <t>2*2*2*2*2*2*2*2</t>
  </si>
  <si>
    <t>Forskellen på F# og Gb med Pytagoreisk stemning</t>
  </si>
  <si>
    <t>Just intonation</t>
  </si>
  <si>
    <t>Ren (Just)</t>
  </si>
  <si>
    <t>Ra</t>
  </si>
  <si>
    <t>Ma</t>
  </si>
  <si>
    <t>Fi</t>
  </si>
  <si>
    <t>Lo</t>
  </si>
  <si>
    <t>Ta</t>
  </si>
  <si>
    <t>halv tone</t>
  </si>
  <si>
    <t>Hvor man sætter fingeren</t>
  </si>
  <si>
    <t>lille sekund</t>
  </si>
  <si>
    <t>=</t>
  </si>
  <si>
    <t>2^19</t>
  </si>
  <si>
    <t>3^12</t>
  </si>
  <si>
    <t xml:space="preserve">Ren skala (Just scale) </t>
  </si>
  <si>
    <t>Grønne går godt</t>
  </si>
  <si>
    <t>Røde = problemer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</si>
</sst>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8" xfId="0" applyBorder="1"/>
    <xf numFmtId="0" fontId="0" fillId="3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5" borderId="0" xfId="0" applyFill="1"/>
    <xf numFmtId="0" fontId="0" fillId="5" borderId="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10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/>
    </xf>
    <xf numFmtId="0" fontId="0" fillId="0" borderId="0" xfId="0" applyAlignment="1"/>
    <xf numFmtId="3" fontId="0" fillId="0" borderId="6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165" fontId="3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3" fillId="0" borderId="12" xfId="0" applyFont="1" applyBorder="1"/>
    <xf numFmtId="165" fontId="0" fillId="0" borderId="13" xfId="0" applyNumberFormat="1" applyFont="1" applyBorder="1" applyAlignment="1">
      <alignment horizontal="center"/>
    </xf>
    <xf numFmtId="165" fontId="0" fillId="0" borderId="13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" fillId="0" borderId="10" xfId="0" applyFont="1" applyFill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/>
    <xf numFmtId="0" fontId="3" fillId="0" borderId="13" xfId="0" applyFont="1" applyBorder="1" applyAlignment="1">
      <alignment horizontal="center"/>
    </xf>
    <xf numFmtId="0" fontId="3" fillId="0" borderId="14" xfId="0" applyFont="1" applyBorder="1"/>
    <xf numFmtId="0" fontId="8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5" borderId="10" xfId="0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wrapText="1"/>
    </xf>
    <xf numFmtId="0" fontId="0" fillId="0" borderId="12" xfId="0" applyBorder="1" applyAlignment="1"/>
    <xf numFmtId="0" fontId="3" fillId="0" borderId="8" xfId="0" applyFont="1" applyBorder="1" applyAlignment="1">
      <alignment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colors>
    <mruColors>
      <color rgb="FFFFFF99"/>
      <color rgb="FFFFF1C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733425</xdr:colOff>
      <xdr:row>21</xdr:row>
      <xdr:rowOff>228600</xdr:rowOff>
    </xdr:from>
    <xdr:to>
      <xdr:col>18</xdr:col>
      <xdr:colOff>361950</xdr:colOff>
      <xdr:row>41</xdr:row>
      <xdr:rowOff>61546</xdr:rowOff>
    </xdr:to>
    <xdr:pic>
      <xdr:nvPicPr>
        <xdr:cNvPr id="3" name="Billede 2" descr="kvintcirkel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58450" y="5353050"/>
          <a:ext cx="3552825" cy="3724275"/>
        </a:xfrm>
        <a:prstGeom prst="rect">
          <a:avLst/>
        </a:prstGeom>
      </xdr:spPr>
    </xdr:pic>
    <xdr:clientData/>
  </xdr:twoCellAnchor>
  <xdr:twoCellAnchor editAs="oneCell">
    <xdr:from>
      <xdr:col>18</xdr:col>
      <xdr:colOff>685800</xdr:colOff>
      <xdr:row>21</xdr:row>
      <xdr:rowOff>190500</xdr:rowOff>
    </xdr:from>
    <xdr:to>
      <xdr:col>22</xdr:col>
      <xdr:colOff>180975</xdr:colOff>
      <xdr:row>30</xdr:row>
      <xdr:rowOff>120894</xdr:rowOff>
    </xdr:to>
    <xdr:pic>
      <xdr:nvPicPr>
        <xdr:cNvPr id="4" name="Billede 3" descr="TolvteRodAf2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335125" y="5314950"/>
          <a:ext cx="2076450" cy="1666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1"/>
  <sheetViews>
    <sheetView tabSelected="1" topLeftCell="A10" workbookViewId="0">
      <selection activeCell="M45" sqref="M45"/>
    </sheetView>
  </sheetViews>
  <sheetFormatPr defaultRowHeight="15"/>
  <cols>
    <col min="1" max="1" width="13.140625" customWidth="1"/>
    <col min="2" max="2" width="9.85546875" customWidth="1"/>
    <col min="3" max="3" width="14.42578125" customWidth="1"/>
    <col min="4" max="4" width="9.140625" customWidth="1"/>
    <col min="5" max="5" width="11.28515625" customWidth="1"/>
    <col min="7" max="7" width="8.140625" customWidth="1"/>
    <col min="8" max="8" width="11.140625" customWidth="1"/>
    <col min="9" max="9" width="9.7109375" customWidth="1"/>
    <col min="11" max="11" width="15.5703125" customWidth="1"/>
    <col min="13" max="13" width="17.7109375" customWidth="1"/>
    <col min="14" max="14" width="13.85546875" customWidth="1"/>
    <col min="15" max="15" width="18.42578125" customWidth="1"/>
  </cols>
  <sheetData>
    <row r="1" spans="1:16" ht="42.75" customHeight="1">
      <c r="B1" s="106" t="s">
        <v>159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16">
      <c r="B2" s="72" t="s">
        <v>18</v>
      </c>
      <c r="C2" s="17"/>
      <c r="D2" s="66" t="s">
        <v>0</v>
      </c>
      <c r="E2" s="17"/>
      <c r="F2" s="66" t="s">
        <v>24</v>
      </c>
      <c r="G2" s="17"/>
      <c r="H2" s="66" t="s">
        <v>2</v>
      </c>
      <c r="I2" s="17"/>
      <c r="J2" s="66" t="s">
        <v>3</v>
      </c>
      <c r="K2" s="17"/>
      <c r="L2" s="66" t="s">
        <v>4</v>
      </c>
      <c r="M2" s="17"/>
      <c r="N2" s="66" t="s">
        <v>5</v>
      </c>
      <c r="O2" s="17"/>
      <c r="P2" s="73" t="s">
        <v>6</v>
      </c>
    </row>
    <row r="3" spans="1:16" ht="30">
      <c r="B3" s="74" t="s">
        <v>134</v>
      </c>
      <c r="C3" s="75" t="s">
        <v>49</v>
      </c>
      <c r="D3" s="67" t="s">
        <v>135</v>
      </c>
      <c r="E3" s="92" t="s">
        <v>125</v>
      </c>
      <c r="F3" s="67" t="s">
        <v>136</v>
      </c>
      <c r="G3" s="92" t="s">
        <v>153</v>
      </c>
      <c r="H3" s="67" t="s">
        <v>137</v>
      </c>
      <c r="I3" s="92" t="s">
        <v>49</v>
      </c>
      <c r="J3" s="67" t="s">
        <v>138</v>
      </c>
      <c r="K3" s="92" t="s">
        <v>125</v>
      </c>
      <c r="L3" s="67" t="s">
        <v>139</v>
      </c>
      <c r="M3" s="75" t="s">
        <v>49</v>
      </c>
      <c r="N3" s="67" t="s">
        <v>140</v>
      </c>
      <c r="O3" s="92" t="s">
        <v>153</v>
      </c>
      <c r="P3" s="76" t="s">
        <v>134</v>
      </c>
    </row>
    <row r="4" spans="1:16" ht="15.75" thickBot="1">
      <c r="B4" s="13"/>
      <c r="C4" s="3">
        <v>9</v>
      </c>
      <c r="D4" s="1"/>
      <c r="E4" s="31">
        <v>10</v>
      </c>
      <c r="F4" s="1"/>
      <c r="G4" s="3">
        <v>16</v>
      </c>
      <c r="H4" s="1"/>
      <c r="I4" s="3">
        <v>9</v>
      </c>
      <c r="J4" s="1"/>
      <c r="K4" s="31">
        <v>10</v>
      </c>
      <c r="L4" s="1"/>
      <c r="M4" s="3">
        <v>9</v>
      </c>
      <c r="N4" s="1"/>
      <c r="O4" s="3">
        <v>16</v>
      </c>
      <c r="P4" s="14"/>
    </row>
    <row r="5" spans="1:16" ht="15.75" thickBot="1">
      <c r="B5" s="13"/>
      <c r="C5" s="4">
        <v>8</v>
      </c>
      <c r="D5" s="1"/>
      <c r="E5" s="32">
        <v>9</v>
      </c>
      <c r="F5" s="1"/>
      <c r="G5" s="4">
        <v>15</v>
      </c>
      <c r="H5" s="1"/>
      <c r="I5" s="4">
        <v>8</v>
      </c>
      <c r="J5" s="1"/>
      <c r="K5" s="32">
        <v>9</v>
      </c>
      <c r="L5" s="1"/>
      <c r="M5" s="4">
        <v>8</v>
      </c>
      <c r="N5" s="1"/>
      <c r="O5" s="4">
        <v>15</v>
      </c>
      <c r="P5" s="14"/>
    </row>
    <row r="6" spans="1:16">
      <c r="B6" s="13"/>
      <c r="C6" s="1"/>
      <c r="D6" s="5"/>
      <c r="E6" s="5"/>
      <c r="F6" s="5"/>
      <c r="G6" s="5"/>
      <c r="H6" s="5"/>
      <c r="I6" s="5"/>
      <c r="J6" s="6"/>
      <c r="K6" s="5"/>
      <c r="L6" s="5"/>
      <c r="M6" s="5"/>
      <c r="N6" s="5"/>
      <c r="O6" s="5"/>
      <c r="P6" s="21"/>
    </row>
    <row r="7" spans="1:16" ht="15.75" thickBot="1">
      <c r="A7" s="77" t="s">
        <v>19</v>
      </c>
      <c r="B7" s="82">
        <v>1</v>
      </c>
      <c r="C7" s="78"/>
      <c r="D7" s="37">
        <v>9</v>
      </c>
      <c r="E7" s="79"/>
      <c r="F7" s="37">
        <v>5</v>
      </c>
      <c r="G7" s="79"/>
      <c r="H7" s="37">
        <v>4</v>
      </c>
      <c r="I7" s="79"/>
      <c r="J7" s="39">
        <v>3</v>
      </c>
      <c r="K7" s="79"/>
      <c r="L7" s="39">
        <v>5</v>
      </c>
      <c r="M7" s="79"/>
      <c r="N7" s="39">
        <v>15</v>
      </c>
      <c r="O7" s="79"/>
      <c r="P7" s="39">
        <v>2</v>
      </c>
    </row>
    <row r="8" spans="1:16" ht="15.75" thickBot="1">
      <c r="A8" s="77"/>
      <c r="B8" s="83">
        <v>1</v>
      </c>
      <c r="C8" s="78"/>
      <c r="D8" s="79">
        <v>8</v>
      </c>
      <c r="E8" s="79"/>
      <c r="F8" s="79">
        <v>4</v>
      </c>
      <c r="G8" s="79"/>
      <c r="H8" s="79">
        <v>3</v>
      </c>
      <c r="I8" s="79"/>
      <c r="J8" s="40">
        <v>2</v>
      </c>
      <c r="K8" s="79"/>
      <c r="L8" s="41">
        <v>3</v>
      </c>
      <c r="M8" s="79"/>
      <c r="N8" s="40">
        <v>8</v>
      </c>
      <c r="O8" s="79"/>
      <c r="P8" s="40">
        <v>1</v>
      </c>
    </row>
    <row r="9" spans="1:16">
      <c r="A9" s="13"/>
      <c r="B9" s="13"/>
      <c r="C9" s="1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1"/>
    </row>
    <row r="10" spans="1:16" ht="15.75" thickBot="1">
      <c r="A10" s="12" t="s">
        <v>23</v>
      </c>
      <c r="B10" s="22">
        <v>0</v>
      </c>
      <c r="C10" s="17"/>
      <c r="D10" s="7">
        <v>1</v>
      </c>
      <c r="E10" s="17"/>
      <c r="F10" s="11">
        <v>1</v>
      </c>
      <c r="G10" s="17"/>
      <c r="H10" s="11">
        <v>1</v>
      </c>
      <c r="I10" s="17"/>
      <c r="J10" s="11">
        <v>1</v>
      </c>
      <c r="K10" s="17"/>
      <c r="L10" s="3">
        <v>2</v>
      </c>
      <c r="M10" s="17"/>
      <c r="N10" s="3">
        <v>7</v>
      </c>
      <c r="O10" s="17"/>
      <c r="P10" s="23">
        <v>1</v>
      </c>
    </row>
    <row r="11" spans="1:16" ht="16.5" customHeight="1">
      <c r="A11" s="93" t="s">
        <v>154</v>
      </c>
      <c r="B11" s="15"/>
      <c r="C11" s="33"/>
      <c r="D11" s="34">
        <v>9</v>
      </c>
      <c r="E11" s="33"/>
      <c r="F11" s="35">
        <v>5</v>
      </c>
      <c r="G11" s="33"/>
      <c r="H11" s="35">
        <v>4</v>
      </c>
      <c r="I11" s="33"/>
      <c r="J11" s="35">
        <v>3</v>
      </c>
      <c r="K11" s="33"/>
      <c r="L11" s="4">
        <v>5</v>
      </c>
      <c r="M11" s="33"/>
      <c r="N11" s="4">
        <v>15</v>
      </c>
      <c r="O11" s="33"/>
      <c r="P11" s="24">
        <v>2</v>
      </c>
    </row>
    <row r="13" spans="1:16">
      <c r="A13" t="s">
        <v>37</v>
      </c>
      <c r="B13" s="2">
        <v>1</v>
      </c>
      <c r="D13" s="2">
        <f>D7/D8</f>
        <v>1.125</v>
      </c>
      <c r="F13" s="2">
        <f>F7/F8</f>
        <v>1.25</v>
      </c>
      <c r="H13" s="2">
        <f>H7/H8</f>
        <v>1.3333333333333333</v>
      </c>
      <c r="J13" s="2">
        <f>J7/J8</f>
        <v>1.5</v>
      </c>
      <c r="L13" s="2">
        <f>L7/L8</f>
        <v>1.6666666666666667</v>
      </c>
      <c r="N13" s="2">
        <f>N7/N8</f>
        <v>1.875</v>
      </c>
      <c r="P13" s="2">
        <f>P7/P8</f>
        <v>2</v>
      </c>
    </row>
    <row r="14" spans="1:16">
      <c r="B14" s="2"/>
    </row>
    <row r="15" spans="1:16" ht="15.75" thickBot="1">
      <c r="B15" s="108">
        <v>1</v>
      </c>
      <c r="C15" s="9">
        <v>9</v>
      </c>
      <c r="D15" s="108">
        <f>C4/C5</f>
        <v>1.125</v>
      </c>
      <c r="E15" s="9" t="s">
        <v>10</v>
      </c>
      <c r="F15" s="108">
        <f>C4*E4/(C5*E5)</f>
        <v>1.25</v>
      </c>
      <c r="G15" s="10" t="s">
        <v>12</v>
      </c>
      <c r="H15" s="108">
        <f>C4*E4*G4/(C5*E5*G5)</f>
        <v>1.3333333333333333</v>
      </c>
      <c r="I15" s="3" t="s">
        <v>14</v>
      </c>
      <c r="J15" s="110">
        <f>C4*E4*G4*I4/(C5*E5*G5*I5)</f>
        <v>1.5</v>
      </c>
      <c r="K15" s="3" t="s">
        <v>16</v>
      </c>
      <c r="L15" s="109">
        <f>C4*E4*G4*I4*K4/(C5*E5*G5*I5*K5)</f>
        <v>1.6666666666666667</v>
      </c>
      <c r="M15" s="3" t="s">
        <v>126</v>
      </c>
      <c r="N15" s="109">
        <f>C4*E4*G4*I4*K4*M4/(C5*E5*G5*I5*K5*M5)</f>
        <v>1.875</v>
      </c>
      <c r="O15" s="3" t="s">
        <v>128</v>
      </c>
      <c r="P15" s="107">
        <f>C4*E4*G4*I4*K4*M4*O4/(C5*E5*G5*I5*K5*M5*O5)</f>
        <v>2</v>
      </c>
    </row>
    <row r="16" spans="1:16">
      <c r="B16" s="108"/>
      <c r="C16" s="2">
        <v>8</v>
      </c>
      <c r="D16" s="108"/>
      <c r="E16" s="2" t="s">
        <v>11</v>
      </c>
      <c r="F16" s="108"/>
      <c r="G16" s="8" t="s">
        <v>13</v>
      </c>
      <c r="H16" s="108"/>
      <c r="I16" s="4" t="s">
        <v>15</v>
      </c>
      <c r="J16" s="110"/>
      <c r="K16" s="4" t="s">
        <v>17</v>
      </c>
      <c r="L16" s="109"/>
      <c r="M16" s="4" t="s">
        <v>127</v>
      </c>
      <c r="N16" s="109"/>
      <c r="O16" s="4" t="s">
        <v>129</v>
      </c>
      <c r="P16" s="107"/>
    </row>
    <row r="18" spans="1:15">
      <c r="A18" s="99" t="s">
        <v>160</v>
      </c>
      <c r="B18" s="100"/>
      <c r="E18" s="97" t="s">
        <v>50</v>
      </c>
      <c r="F18" s="98"/>
      <c r="G18" s="29"/>
      <c r="H18" s="99" t="s">
        <v>51</v>
      </c>
      <c r="I18" s="100"/>
      <c r="J18" s="30"/>
      <c r="K18" s="99" t="s">
        <v>52</v>
      </c>
      <c r="L18" s="100"/>
      <c r="M18" s="30"/>
      <c r="N18" s="99" t="s">
        <v>53</v>
      </c>
      <c r="O18" s="100"/>
    </row>
    <row r="19" spans="1:15">
      <c r="A19" s="97" t="s">
        <v>161</v>
      </c>
      <c r="B19" s="98"/>
      <c r="E19" s="13"/>
      <c r="F19" s="14"/>
      <c r="G19" s="1"/>
      <c r="H19" s="13"/>
      <c r="I19" s="14"/>
      <c r="K19" s="13"/>
      <c r="L19" s="14"/>
      <c r="N19" s="13"/>
      <c r="O19" s="14"/>
    </row>
    <row r="20" spans="1:15" ht="15.75" thickBot="1">
      <c r="E20" s="13" t="s">
        <v>8</v>
      </c>
      <c r="F20" s="18">
        <v>32</v>
      </c>
      <c r="G20" s="1"/>
      <c r="H20" s="13" t="s">
        <v>20</v>
      </c>
      <c r="I20" s="20">
        <v>6</v>
      </c>
      <c r="K20" s="22" t="s">
        <v>25</v>
      </c>
      <c r="L20" s="20">
        <v>5</v>
      </c>
      <c r="N20" s="13" t="s">
        <v>26</v>
      </c>
      <c r="O20" s="21">
        <v>5</v>
      </c>
    </row>
    <row r="21" spans="1:15">
      <c r="E21" s="13" t="s">
        <v>9</v>
      </c>
      <c r="F21" s="18">
        <v>27</v>
      </c>
      <c r="G21" s="1"/>
      <c r="H21" s="13" t="s">
        <v>21</v>
      </c>
      <c r="I21" s="21">
        <v>5</v>
      </c>
      <c r="K21" s="22" t="s">
        <v>20</v>
      </c>
      <c r="L21" s="21">
        <v>4</v>
      </c>
      <c r="N21" s="13" t="s">
        <v>27</v>
      </c>
      <c r="O21" s="21">
        <v>4</v>
      </c>
    </row>
    <row r="22" spans="1:15">
      <c r="E22" s="13"/>
      <c r="F22" s="19">
        <f>F20/F21</f>
        <v>1.1851851851851851</v>
      </c>
      <c r="G22" s="1"/>
      <c r="H22" s="13"/>
      <c r="I22" s="21">
        <f>I20/I21</f>
        <v>1.2</v>
      </c>
      <c r="K22" s="13"/>
      <c r="L22" s="14"/>
      <c r="N22" s="13"/>
      <c r="O22" s="14"/>
    </row>
    <row r="23" spans="1:15">
      <c r="E23" s="13" t="s">
        <v>28</v>
      </c>
      <c r="F23" s="19">
        <v>1.2</v>
      </c>
      <c r="G23" s="1"/>
      <c r="H23" s="13"/>
      <c r="I23" s="14"/>
      <c r="K23" s="13"/>
      <c r="L23" s="14"/>
      <c r="N23" s="13"/>
      <c r="O23" s="14"/>
    </row>
    <row r="24" spans="1:15" ht="15.75" thickBot="1">
      <c r="E24" s="13" t="s">
        <v>36</v>
      </c>
      <c r="F24" s="14"/>
      <c r="H24" s="22" t="s">
        <v>22</v>
      </c>
      <c r="I24" s="23">
        <v>1</v>
      </c>
      <c r="K24" s="13" t="s">
        <v>24</v>
      </c>
      <c r="L24" s="23">
        <v>1</v>
      </c>
      <c r="N24" s="13" t="s">
        <v>1</v>
      </c>
      <c r="O24" s="23">
        <v>1</v>
      </c>
    </row>
    <row r="25" spans="1:15">
      <c r="E25" s="15" t="s">
        <v>112</v>
      </c>
      <c r="F25" s="63">
        <f>LOG(F22/F23,2)*1200</f>
        <v>-21.50628959671495</v>
      </c>
      <c r="H25" s="15"/>
      <c r="I25" s="24">
        <v>6</v>
      </c>
      <c r="K25" s="15"/>
      <c r="L25" s="24">
        <v>5</v>
      </c>
      <c r="N25" s="15"/>
      <c r="O25" s="24">
        <v>5</v>
      </c>
    </row>
    <row r="28" spans="1:15">
      <c r="E28" s="99" t="s">
        <v>56</v>
      </c>
      <c r="F28" s="100"/>
      <c r="G28" s="30"/>
      <c r="H28" s="97" t="s">
        <v>55</v>
      </c>
      <c r="I28" s="98"/>
      <c r="J28" s="30"/>
      <c r="K28" s="102" t="s">
        <v>48</v>
      </c>
      <c r="L28" s="103"/>
      <c r="M28" s="30"/>
      <c r="N28" s="99" t="s">
        <v>54</v>
      </c>
      <c r="O28" s="100"/>
    </row>
    <row r="29" spans="1:15" ht="15.75" thickBot="1">
      <c r="E29" s="13" t="s">
        <v>29</v>
      </c>
      <c r="F29" s="20">
        <v>4</v>
      </c>
      <c r="H29" s="25" t="s">
        <v>7</v>
      </c>
      <c r="I29" s="21">
        <v>40</v>
      </c>
      <c r="K29" s="13" t="s">
        <v>32</v>
      </c>
      <c r="L29" s="20">
        <v>45</v>
      </c>
      <c r="N29" s="13" t="s">
        <v>34</v>
      </c>
      <c r="O29" s="20">
        <v>5</v>
      </c>
    </row>
    <row r="30" spans="1:15">
      <c r="E30" s="13" t="s">
        <v>30</v>
      </c>
      <c r="F30" s="21">
        <v>3</v>
      </c>
      <c r="H30" s="25" t="s">
        <v>9</v>
      </c>
      <c r="I30" s="21">
        <v>27</v>
      </c>
      <c r="K30" s="13" t="s">
        <v>33</v>
      </c>
      <c r="L30" s="21">
        <v>32</v>
      </c>
      <c r="N30" s="13" t="s">
        <v>11</v>
      </c>
      <c r="O30" s="21">
        <v>3</v>
      </c>
    </row>
    <row r="31" spans="1:15">
      <c r="E31" s="13"/>
      <c r="F31" s="14"/>
      <c r="H31" s="26"/>
      <c r="I31" s="27">
        <f>I29/I30</f>
        <v>1.4814814814814814</v>
      </c>
      <c r="K31" s="13" t="s">
        <v>35</v>
      </c>
      <c r="L31" s="14">
        <f>L29/L30</f>
        <v>1.40625</v>
      </c>
      <c r="N31" s="13"/>
      <c r="O31" s="14"/>
    </row>
    <row r="32" spans="1:15" ht="15.75" thickBot="1">
      <c r="E32" s="13" t="s">
        <v>2</v>
      </c>
      <c r="F32" s="23">
        <v>1</v>
      </c>
      <c r="H32" s="26" t="s">
        <v>31</v>
      </c>
      <c r="I32" s="27">
        <v>1.5</v>
      </c>
      <c r="K32" s="13"/>
      <c r="L32" s="14"/>
      <c r="N32" s="13" t="s">
        <v>4</v>
      </c>
      <c r="O32" s="23">
        <v>2</v>
      </c>
    </row>
    <row r="33" spans="5:15">
      <c r="E33" s="13"/>
      <c r="F33" s="81"/>
      <c r="H33" s="26" t="s">
        <v>3</v>
      </c>
      <c r="I33" s="27"/>
      <c r="K33" s="13"/>
      <c r="L33" s="14"/>
      <c r="N33" s="13"/>
      <c r="O33" s="81"/>
    </row>
    <row r="34" spans="5:15">
      <c r="E34" s="15"/>
      <c r="F34" s="24">
        <v>4</v>
      </c>
      <c r="H34" s="15" t="s">
        <v>112</v>
      </c>
      <c r="I34" s="63">
        <f>1200*LOG(I31/I32,2)</f>
        <v>-21.50628959671495</v>
      </c>
      <c r="K34" s="15"/>
      <c r="L34" s="16"/>
      <c r="N34" s="15"/>
      <c r="O34" s="24">
        <v>5</v>
      </c>
    </row>
    <row r="37" spans="5:15">
      <c r="E37" s="99" t="s">
        <v>60</v>
      </c>
      <c r="F37" s="100"/>
      <c r="H37" s="99" t="s">
        <v>59</v>
      </c>
      <c r="I37" s="100"/>
      <c r="K37" s="99" t="s">
        <v>61</v>
      </c>
      <c r="L37" s="100"/>
    </row>
    <row r="38" spans="5:15" ht="15.75" thickBot="1">
      <c r="E38" s="13" t="s">
        <v>38</v>
      </c>
      <c r="F38" s="20">
        <f>6</f>
        <v>6</v>
      </c>
      <c r="H38" s="13" t="s">
        <v>57</v>
      </c>
      <c r="I38" s="43">
        <v>30</v>
      </c>
      <c r="K38" s="13" t="s">
        <v>62</v>
      </c>
      <c r="L38" s="21">
        <v>2</v>
      </c>
    </row>
    <row r="39" spans="5:15">
      <c r="E39" s="13" t="s">
        <v>39</v>
      </c>
      <c r="F39" s="21">
        <v>5</v>
      </c>
      <c r="H39" s="13" t="s">
        <v>58</v>
      </c>
      <c r="I39" s="21">
        <v>20</v>
      </c>
      <c r="K39" s="13" t="s">
        <v>63</v>
      </c>
      <c r="L39" s="21">
        <v>1</v>
      </c>
    </row>
    <row r="40" spans="5:15">
      <c r="E40" s="13"/>
      <c r="F40" s="14"/>
      <c r="H40" s="13"/>
      <c r="I40" s="14"/>
      <c r="K40" s="13"/>
      <c r="L40" s="14"/>
    </row>
    <row r="41" spans="5:15" ht="15.75" thickBot="1">
      <c r="E41" s="22" t="s">
        <v>22</v>
      </c>
      <c r="F41" s="23">
        <v>5</v>
      </c>
      <c r="H41" s="13" t="s">
        <v>3</v>
      </c>
      <c r="I41" s="23">
        <v>3</v>
      </c>
      <c r="K41" s="13" t="s">
        <v>6</v>
      </c>
      <c r="L41" s="23">
        <v>1</v>
      </c>
    </row>
    <row r="42" spans="5:15">
      <c r="E42" s="15"/>
      <c r="F42" s="24">
        <v>6</v>
      </c>
      <c r="H42" s="15"/>
      <c r="I42" s="24">
        <v>2</v>
      </c>
      <c r="K42" s="15"/>
      <c r="L42" s="24">
        <v>2</v>
      </c>
    </row>
    <row r="45" spans="5:15">
      <c r="E45" s="102" t="s">
        <v>45</v>
      </c>
      <c r="F45" s="103"/>
      <c r="H45" s="102" t="s">
        <v>64</v>
      </c>
      <c r="I45" s="103"/>
      <c r="K45" s="102" t="s">
        <v>65</v>
      </c>
      <c r="L45" s="103"/>
    </row>
    <row r="46" spans="5:15" ht="15.75" thickBot="1">
      <c r="E46" s="13" t="s">
        <v>41</v>
      </c>
      <c r="F46" s="43">
        <v>9</v>
      </c>
      <c r="H46" s="13" t="s">
        <v>4</v>
      </c>
      <c r="I46" s="43">
        <v>5</v>
      </c>
      <c r="K46" s="13" t="s">
        <v>2</v>
      </c>
      <c r="L46" s="43">
        <v>4</v>
      </c>
    </row>
    <row r="47" spans="5:15">
      <c r="E47" s="13" t="s">
        <v>44</v>
      </c>
      <c r="F47" s="21">
        <v>4</v>
      </c>
      <c r="H47" s="15"/>
      <c r="I47" s="44">
        <v>3</v>
      </c>
      <c r="K47" s="15"/>
      <c r="L47" s="44">
        <v>3</v>
      </c>
    </row>
    <row r="48" spans="5:15">
      <c r="E48" s="15"/>
      <c r="F48" s="47">
        <f>F46/F47</f>
        <v>2.25</v>
      </c>
    </row>
    <row r="50" spans="2:16">
      <c r="F50" s="28" t="s">
        <v>46</v>
      </c>
      <c r="H50" s="102" t="s">
        <v>110</v>
      </c>
      <c r="I50" s="103"/>
    </row>
    <row r="51" spans="2:16" ht="15.75" thickBot="1">
      <c r="E51" t="s">
        <v>43</v>
      </c>
      <c r="F51" s="45">
        <f>(F48-I53)/F48</f>
        <v>1.2345679012345635E-2</v>
      </c>
      <c r="H51" s="13" t="s">
        <v>40</v>
      </c>
      <c r="I51" s="21">
        <v>20</v>
      </c>
      <c r="K51" s="2" t="s">
        <v>131</v>
      </c>
      <c r="L51" s="9">
        <v>81</v>
      </c>
    </row>
    <row r="52" spans="2:16">
      <c r="E52" t="s">
        <v>42</v>
      </c>
      <c r="F52" s="46">
        <f>F51*330</f>
        <v>4.0740740740740593</v>
      </c>
      <c r="G52" t="s">
        <v>47</v>
      </c>
      <c r="H52" s="13" t="s">
        <v>41</v>
      </c>
      <c r="I52" s="21">
        <v>9</v>
      </c>
      <c r="K52" s="2" t="s">
        <v>132</v>
      </c>
      <c r="L52" s="5">
        <v>80</v>
      </c>
    </row>
    <row r="53" spans="2:16">
      <c r="F53" s="58">
        <f>1200*LOG(81/80,2)</f>
        <v>21.50628959671478</v>
      </c>
      <c r="G53" t="s">
        <v>112</v>
      </c>
      <c r="H53" s="15"/>
      <c r="I53" s="48">
        <f>I51/I52</f>
        <v>2.2222222222222223</v>
      </c>
    </row>
    <row r="54" spans="2:16">
      <c r="F54" s="46"/>
    </row>
    <row r="55" spans="2:16">
      <c r="E55" s="101" t="s">
        <v>67</v>
      </c>
      <c r="F55" s="101"/>
      <c r="G55" s="101"/>
      <c r="H55" s="101"/>
      <c r="I55" s="101"/>
      <c r="J55" s="101"/>
      <c r="K55" s="101"/>
      <c r="L55" s="49"/>
      <c r="M55" s="49"/>
    </row>
    <row r="56" spans="2:16">
      <c r="E56" s="101" t="s">
        <v>66</v>
      </c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6">
      <c r="E57" s="101" t="s">
        <v>68</v>
      </c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62" spans="2:16">
      <c r="D62" s="28" t="s">
        <v>0</v>
      </c>
      <c r="E62" s="80" t="s">
        <v>107</v>
      </c>
      <c r="F62" s="28" t="s">
        <v>101</v>
      </c>
      <c r="G62" s="28"/>
      <c r="H62" s="28" t="s">
        <v>2</v>
      </c>
      <c r="I62" s="28"/>
      <c r="J62" s="28" t="s">
        <v>3</v>
      </c>
      <c r="K62" s="28"/>
      <c r="L62" s="28" t="s">
        <v>4</v>
      </c>
      <c r="M62" s="28"/>
      <c r="N62" s="28" t="s">
        <v>124</v>
      </c>
      <c r="O62" s="28"/>
      <c r="P62" s="28" t="s">
        <v>6</v>
      </c>
    </row>
    <row r="63" spans="2:16" ht="15.75" thickBot="1">
      <c r="B63" s="104" t="s">
        <v>19</v>
      </c>
      <c r="C63" s="36" t="s">
        <v>130</v>
      </c>
      <c r="D63" s="39">
        <v>9</v>
      </c>
      <c r="E63" s="39">
        <v>6</v>
      </c>
      <c r="F63" s="39">
        <v>5</v>
      </c>
      <c r="G63" s="38"/>
      <c r="H63" s="39">
        <v>4</v>
      </c>
      <c r="I63" s="38"/>
      <c r="J63" s="39">
        <v>3</v>
      </c>
      <c r="K63" s="38"/>
      <c r="L63" s="39">
        <v>5</v>
      </c>
      <c r="M63" s="38"/>
      <c r="N63" s="39">
        <v>15</v>
      </c>
      <c r="O63" s="38"/>
      <c r="P63" s="39">
        <v>2</v>
      </c>
    </row>
    <row r="64" spans="2:16" ht="15.75" thickBot="1">
      <c r="B64" s="105"/>
      <c r="C64" s="36"/>
      <c r="D64" s="40">
        <v>8</v>
      </c>
      <c r="E64" s="40">
        <v>5</v>
      </c>
      <c r="F64" s="40">
        <v>4</v>
      </c>
      <c r="G64" s="38"/>
      <c r="H64" s="40">
        <v>3</v>
      </c>
      <c r="I64" s="38"/>
      <c r="J64" s="40">
        <v>2</v>
      </c>
      <c r="K64" s="38"/>
      <c r="L64" s="41">
        <v>3</v>
      </c>
      <c r="M64" s="38"/>
      <c r="N64" s="40">
        <v>8</v>
      </c>
      <c r="O64" s="38"/>
      <c r="P64" s="40">
        <v>1</v>
      </c>
    </row>
    <row r="67" spans="2:16" ht="15.75" thickBot="1">
      <c r="B67" s="65" t="s">
        <v>23</v>
      </c>
      <c r="C67" s="17"/>
      <c r="D67" s="7">
        <v>8</v>
      </c>
      <c r="E67" s="3">
        <v>5</v>
      </c>
      <c r="F67" s="3">
        <v>4</v>
      </c>
      <c r="G67" s="17"/>
      <c r="H67" s="3">
        <v>3</v>
      </c>
      <c r="I67" s="17"/>
      <c r="J67" s="3">
        <v>2</v>
      </c>
      <c r="K67" s="17"/>
      <c r="L67" s="3">
        <v>3</v>
      </c>
      <c r="M67" s="17"/>
      <c r="N67" s="3">
        <v>8</v>
      </c>
      <c r="O67" s="17"/>
      <c r="P67" s="3">
        <v>1</v>
      </c>
    </row>
    <row r="68" spans="2:16">
      <c r="B68" s="15" t="s">
        <v>123</v>
      </c>
      <c r="C68" s="33"/>
      <c r="D68" s="34">
        <v>9</v>
      </c>
      <c r="E68" s="4">
        <v>6</v>
      </c>
      <c r="F68" s="4">
        <v>5</v>
      </c>
      <c r="G68" s="33"/>
      <c r="H68" s="4">
        <v>4</v>
      </c>
      <c r="I68" s="33"/>
      <c r="J68" s="4">
        <v>3</v>
      </c>
      <c r="K68" s="33"/>
      <c r="L68" s="4">
        <v>5</v>
      </c>
      <c r="M68" s="33"/>
      <c r="N68" s="4">
        <v>15</v>
      </c>
      <c r="O68" s="33"/>
      <c r="P68" s="4">
        <v>2</v>
      </c>
    </row>
    <row r="70" spans="2:16" ht="18" customHeight="1" thickBot="1">
      <c r="B70" s="95" t="s">
        <v>121</v>
      </c>
      <c r="C70" s="96"/>
      <c r="D70" s="84">
        <v>1</v>
      </c>
      <c r="E70" s="11">
        <v>1</v>
      </c>
      <c r="F70" s="11">
        <v>1</v>
      </c>
      <c r="G70" s="17"/>
      <c r="H70" s="11">
        <v>1</v>
      </c>
      <c r="I70" s="17"/>
      <c r="J70" s="11">
        <v>1</v>
      </c>
      <c r="K70" s="17"/>
      <c r="L70" s="3">
        <v>2</v>
      </c>
      <c r="M70" s="17"/>
      <c r="N70" s="3">
        <v>7</v>
      </c>
      <c r="O70" s="17"/>
      <c r="P70" s="23">
        <v>1</v>
      </c>
    </row>
    <row r="71" spans="2:16">
      <c r="B71" s="15" t="s">
        <v>122</v>
      </c>
      <c r="C71" s="33"/>
      <c r="D71" s="85">
        <v>9</v>
      </c>
      <c r="E71" s="35">
        <v>6</v>
      </c>
      <c r="F71" s="35">
        <v>5</v>
      </c>
      <c r="G71" s="33"/>
      <c r="H71" s="35">
        <v>4</v>
      </c>
      <c r="I71" s="33"/>
      <c r="J71" s="35">
        <v>3</v>
      </c>
      <c r="K71" s="33"/>
      <c r="L71" s="4">
        <v>5</v>
      </c>
      <c r="M71" s="33"/>
      <c r="N71" s="4">
        <v>15</v>
      </c>
      <c r="O71" s="33"/>
      <c r="P71" s="24">
        <v>2</v>
      </c>
    </row>
  </sheetData>
  <mergeCells count="31">
    <mergeCell ref="E45:F45"/>
    <mergeCell ref="B1:P1"/>
    <mergeCell ref="P15:P16"/>
    <mergeCell ref="N28:O28"/>
    <mergeCell ref="N18:O18"/>
    <mergeCell ref="H15:H16"/>
    <mergeCell ref="L15:L16"/>
    <mergeCell ref="J15:J16"/>
    <mergeCell ref="N15:N16"/>
    <mergeCell ref="F15:F16"/>
    <mergeCell ref="K18:L18"/>
    <mergeCell ref="H18:I18"/>
    <mergeCell ref="E18:F18"/>
    <mergeCell ref="D15:D16"/>
    <mergeCell ref="B15:B16"/>
    <mergeCell ref="B70:C70"/>
    <mergeCell ref="A19:B19"/>
    <mergeCell ref="A18:B18"/>
    <mergeCell ref="E57:O57"/>
    <mergeCell ref="H50:I50"/>
    <mergeCell ref="B63:B64"/>
    <mergeCell ref="E56:O56"/>
    <mergeCell ref="E55:K55"/>
    <mergeCell ref="E28:F28"/>
    <mergeCell ref="H28:I28"/>
    <mergeCell ref="K28:L28"/>
    <mergeCell ref="H37:I37"/>
    <mergeCell ref="K37:L37"/>
    <mergeCell ref="E37:F37"/>
    <mergeCell ref="K45:L45"/>
    <mergeCell ref="H45:I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AD85"/>
  <sheetViews>
    <sheetView topLeftCell="A10" zoomScale="84" zoomScaleNormal="84" workbookViewId="0">
      <selection activeCell="M41" sqref="M41"/>
    </sheetView>
  </sheetViews>
  <sheetFormatPr defaultRowHeight="15"/>
  <cols>
    <col min="2" max="2" width="9.140625" style="28"/>
    <col min="3" max="3" width="29.5703125" style="2" customWidth="1"/>
    <col min="4" max="4" width="7.28515625" style="2" customWidth="1"/>
    <col min="5" max="5" width="10.85546875" style="2" customWidth="1"/>
    <col min="6" max="6" width="3" customWidth="1"/>
    <col min="7" max="7" width="12.5703125" customWidth="1"/>
    <col min="9" max="9" width="8.140625" customWidth="1"/>
    <col min="10" max="10" width="3.42578125" customWidth="1"/>
    <col min="12" max="12" width="4" customWidth="1"/>
    <col min="13" max="13" width="12.7109375" customWidth="1"/>
    <col min="14" max="14" width="13.140625" customWidth="1"/>
    <col min="15" max="15" width="18.28515625" customWidth="1"/>
    <col min="19" max="19" width="11.28515625" customWidth="1"/>
    <col min="22" max="22" width="9.140625" customWidth="1"/>
    <col min="24" max="24" width="10" customWidth="1"/>
    <col min="25" max="25" width="12.140625" customWidth="1"/>
    <col min="26" max="26" width="13.140625" customWidth="1"/>
    <col min="27" max="27" width="11.140625" customWidth="1"/>
  </cols>
  <sheetData>
    <row r="1" spans="2:30" ht="38.25" customHeight="1">
      <c r="G1" s="30" t="s">
        <v>88</v>
      </c>
      <c r="H1" s="30"/>
      <c r="I1" s="30" t="s">
        <v>146</v>
      </c>
      <c r="J1" s="30"/>
      <c r="K1" s="30"/>
      <c r="L1" s="30"/>
      <c r="M1" s="30" t="s">
        <v>89</v>
      </c>
      <c r="O1" s="12"/>
      <c r="P1" s="54" t="s">
        <v>18</v>
      </c>
      <c r="Q1" s="94" t="s">
        <v>155</v>
      </c>
      <c r="R1" s="54" t="s">
        <v>0</v>
      </c>
      <c r="S1" s="54" t="s">
        <v>107</v>
      </c>
      <c r="T1" s="54" t="s">
        <v>101</v>
      </c>
      <c r="U1" s="54" t="s">
        <v>2</v>
      </c>
      <c r="V1" s="54" t="s">
        <v>102</v>
      </c>
      <c r="W1" s="54" t="s">
        <v>3</v>
      </c>
      <c r="X1" s="54" t="s">
        <v>106</v>
      </c>
      <c r="Y1" s="54" t="s">
        <v>103</v>
      </c>
      <c r="Z1" s="54" t="s">
        <v>104</v>
      </c>
      <c r="AA1" s="54" t="s">
        <v>105</v>
      </c>
      <c r="AB1" s="55" t="s">
        <v>6</v>
      </c>
    </row>
    <row r="2" spans="2:30" ht="19.5" customHeight="1" thickBot="1">
      <c r="B2" s="111" t="s">
        <v>75</v>
      </c>
      <c r="C2" s="9" t="s">
        <v>87</v>
      </c>
      <c r="E2" s="9">
        <f>3*3*3*3*3*3</f>
        <v>729</v>
      </c>
      <c r="G2" s="108">
        <f>E2/E3</f>
        <v>1.423828125</v>
      </c>
      <c r="M2" s="108">
        <f>V5</f>
        <v>1.4142135623730954</v>
      </c>
      <c r="O2" s="13"/>
      <c r="P2" s="5" t="s">
        <v>69</v>
      </c>
      <c r="Q2" s="5" t="s">
        <v>76</v>
      </c>
      <c r="R2" s="5" t="s">
        <v>71</v>
      </c>
      <c r="S2" s="5" t="s">
        <v>78</v>
      </c>
      <c r="T2" s="5" t="s">
        <v>73</v>
      </c>
      <c r="U2" s="5" t="s">
        <v>80</v>
      </c>
      <c r="V2" s="5" t="s">
        <v>75</v>
      </c>
      <c r="W2" s="5" t="s">
        <v>70</v>
      </c>
      <c r="X2" s="5" t="s">
        <v>77</v>
      </c>
      <c r="Y2" s="5" t="s">
        <v>72</v>
      </c>
      <c r="Z2" s="5" t="s">
        <v>79</v>
      </c>
      <c r="AA2" s="5" t="s">
        <v>74</v>
      </c>
      <c r="AB2" s="21" t="s">
        <v>69</v>
      </c>
    </row>
    <row r="3" spans="2:30" ht="18.75" customHeight="1">
      <c r="B3" s="111"/>
      <c r="C3" s="2" t="s">
        <v>92</v>
      </c>
      <c r="E3" s="2">
        <f>2^9</f>
        <v>512</v>
      </c>
      <c r="G3" s="108"/>
      <c r="M3" s="108"/>
      <c r="O3" s="74" t="s">
        <v>133</v>
      </c>
      <c r="P3" s="5">
        <v>1</v>
      </c>
      <c r="Q3" s="5">
        <f>G35</f>
        <v>1.0534979423868314</v>
      </c>
      <c r="R3" s="5">
        <f>G14</f>
        <v>1.125</v>
      </c>
      <c r="S3" s="5">
        <f>G29</f>
        <v>1.1851851851851851</v>
      </c>
      <c r="T3" s="5">
        <f>G8</f>
        <v>1.265625</v>
      </c>
      <c r="U3" s="5">
        <f>G23</f>
        <v>1.3333333333333333</v>
      </c>
      <c r="V3" s="5">
        <f>G2</f>
        <v>1.423828125</v>
      </c>
      <c r="W3" s="5">
        <f>G17</f>
        <v>1.5</v>
      </c>
      <c r="X3" s="5">
        <f>G32</f>
        <v>1.5802469135802468</v>
      </c>
      <c r="Y3" s="5">
        <f>G11</f>
        <v>1.6875</v>
      </c>
      <c r="Z3" s="5">
        <f>G78</f>
        <v>1.802032470703125</v>
      </c>
      <c r="AA3" s="5">
        <f>G5</f>
        <v>1.8984375</v>
      </c>
      <c r="AB3" s="21">
        <f>G84</f>
        <v>2.0272865295410156</v>
      </c>
    </row>
    <row r="4" spans="2:30">
      <c r="O4" s="74" t="s">
        <v>147</v>
      </c>
      <c r="P4" s="5">
        <v>1</v>
      </c>
      <c r="Q4" s="5">
        <f>I35/I36</f>
        <v>1.0666666666666667</v>
      </c>
      <c r="R4" s="5">
        <f>R3</f>
        <v>1.125</v>
      </c>
      <c r="S4" s="5">
        <f>I29/I30</f>
        <v>1.2</v>
      </c>
      <c r="T4" s="5">
        <f>I8/I9</f>
        <v>1.25</v>
      </c>
      <c r="U4" s="5">
        <f>I23/I24</f>
        <v>1.3333333333333333</v>
      </c>
      <c r="V4">
        <f>I38/I39</f>
        <v>1.4</v>
      </c>
      <c r="W4" s="5">
        <f>I17/I18</f>
        <v>1.5</v>
      </c>
      <c r="X4" s="5">
        <f>I32/I33</f>
        <v>1.6</v>
      </c>
      <c r="Y4" s="5">
        <f>I11/I12</f>
        <v>1.6666666666666667</v>
      </c>
      <c r="Z4" s="5">
        <f>I78/I79</f>
        <v>1.8</v>
      </c>
      <c r="AA4" s="5">
        <f>I5/I6</f>
        <v>1.875</v>
      </c>
      <c r="AB4" s="21">
        <v>2</v>
      </c>
    </row>
    <row r="5" spans="2:30" ht="15.75" thickBot="1">
      <c r="B5" s="111" t="s">
        <v>74</v>
      </c>
      <c r="C5" s="9" t="s">
        <v>86</v>
      </c>
      <c r="E5" s="9">
        <f>3*3*3*3*3</f>
        <v>243</v>
      </c>
      <c r="G5" s="108">
        <f>E5/E6</f>
        <v>1.8984375</v>
      </c>
      <c r="I5" s="9">
        <v>15</v>
      </c>
      <c r="J5" s="5"/>
      <c r="K5" s="108">
        <f>I5/I6</f>
        <v>1.875</v>
      </c>
      <c r="L5" s="42"/>
      <c r="M5" s="108">
        <f>AA5</f>
        <v>1.8877486253633877</v>
      </c>
      <c r="O5" s="74" t="s">
        <v>89</v>
      </c>
      <c r="P5" s="5">
        <v>1</v>
      </c>
      <c r="Q5" s="5">
        <f>P5*2^(1/12)</f>
        <v>1.0594630943592953</v>
      </c>
      <c r="R5" s="5">
        <f t="shared" ref="R5:AB5" si="0">Q5*2^(1/12)</f>
        <v>1.122462048309373</v>
      </c>
      <c r="S5" s="5">
        <f t="shared" si="0"/>
        <v>1.1892071150027212</v>
      </c>
      <c r="T5" s="5">
        <f t="shared" si="0"/>
        <v>1.2599210498948734</v>
      </c>
      <c r="U5" s="5">
        <f t="shared" si="0"/>
        <v>1.3348398541700346</v>
      </c>
      <c r="V5" s="5">
        <f t="shared" si="0"/>
        <v>1.4142135623730954</v>
      </c>
      <c r="W5" s="5">
        <f t="shared" si="0"/>
        <v>1.498307076876682</v>
      </c>
      <c r="X5" s="5">
        <f t="shared" si="0"/>
        <v>1.5874010519682</v>
      </c>
      <c r="Y5" s="5">
        <f t="shared" si="0"/>
        <v>1.6817928305074297</v>
      </c>
      <c r="Z5" s="5">
        <f t="shared" si="0"/>
        <v>1.7817974362806792</v>
      </c>
      <c r="AA5" s="5">
        <f t="shared" si="0"/>
        <v>1.8877486253633877</v>
      </c>
      <c r="AB5" s="21">
        <f t="shared" si="0"/>
        <v>2.0000000000000009</v>
      </c>
    </row>
    <row r="6" spans="2:30">
      <c r="B6" s="111"/>
      <c r="C6" s="2" t="s">
        <v>91</v>
      </c>
      <c r="E6" s="2">
        <f>2*2*2*2*2*2*2</f>
        <v>128</v>
      </c>
      <c r="G6" s="108"/>
      <c r="I6" s="2">
        <v>8</v>
      </c>
      <c r="J6" s="2"/>
      <c r="K6" s="108"/>
      <c r="L6" s="42"/>
      <c r="M6" s="108"/>
      <c r="O6" s="74"/>
      <c r="P6" s="67" t="s">
        <v>134</v>
      </c>
      <c r="Q6" s="5" t="s">
        <v>148</v>
      </c>
      <c r="R6" s="67" t="s">
        <v>135</v>
      </c>
      <c r="S6" s="90" t="s">
        <v>149</v>
      </c>
      <c r="T6" s="91" t="s">
        <v>136</v>
      </c>
      <c r="U6" s="91" t="s">
        <v>137</v>
      </c>
      <c r="V6" s="90" t="s">
        <v>150</v>
      </c>
      <c r="W6" s="91" t="s">
        <v>138</v>
      </c>
      <c r="X6" s="90" t="s">
        <v>151</v>
      </c>
      <c r="Y6" s="91" t="s">
        <v>139</v>
      </c>
      <c r="Z6" s="90" t="s">
        <v>152</v>
      </c>
      <c r="AA6" s="91" t="s">
        <v>140</v>
      </c>
      <c r="AB6" s="76" t="s">
        <v>134</v>
      </c>
    </row>
    <row r="7" spans="2:30">
      <c r="O7" s="74" t="s">
        <v>90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4"/>
    </row>
    <row r="8" spans="2:30" ht="19.5" customHeight="1" thickBot="1">
      <c r="B8" s="111" t="s">
        <v>73</v>
      </c>
      <c r="C8" s="9" t="s">
        <v>83</v>
      </c>
      <c r="E8" s="9">
        <f>3*3*3*3</f>
        <v>81</v>
      </c>
      <c r="G8" s="108">
        <f>E8/E9</f>
        <v>1.265625</v>
      </c>
      <c r="I8" s="9">
        <v>5</v>
      </c>
      <c r="J8" s="5"/>
      <c r="K8" s="108">
        <f>I8/I9</f>
        <v>1.25</v>
      </c>
      <c r="L8" s="42"/>
      <c r="M8" s="108">
        <f>T5</f>
        <v>1.2599210498948734</v>
      </c>
      <c r="O8" s="74" t="s">
        <v>147</v>
      </c>
      <c r="P8" s="57">
        <v>0</v>
      </c>
      <c r="Q8" s="58">
        <f>1200*LOG(Q4/Q5,2)</f>
        <v>11.731285269777747</v>
      </c>
      <c r="R8" s="58">
        <f>1200*LOG(R4/R5,2)</f>
        <v>3.9100017307747521</v>
      </c>
      <c r="S8" s="58">
        <f t="shared" ref="S8:AB8" si="1">1200*LOG(S4/S5,2)</f>
        <v>15.641287000552362</v>
      </c>
      <c r="T8" s="58">
        <f t="shared" si="1"/>
        <v>-13.686286135165501</v>
      </c>
      <c r="U8" s="58">
        <f t="shared" si="1"/>
        <v>-1.9550008653877775</v>
      </c>
      <c r="V8" s="58">
        <f t="shared" si="1"/>
        <v>-17.487807395710391</v>
      </c>
      <c r="W8" s="58">
        <f t="shared" si="1"/>
        <v>1.9550008653868458</v>
      </c>
      <c r="X8" s="58">
        <f>1200*LOG(U4/U5,2)</f>
        <v>-1.9550008653877775</v>
      </c>
      <c r="Y8" s="58">
        <f t="shared" si="1"/>
        <v>-15.64128700055311</v>
      </c>
      <c r="Z8" s="58">
        <f t="shared" si="1"/>
        <v>17.596287865939541</v>
      </c>
      <c r="AA8" s="58">
        <f>1200*LOG(AA4/AA5,2)</f>
        <v>-11.731285269778395</v>
      </c>
      <c r="AB8" s="59">
        <f t="shared" si="1"/>
        <v>-7.6882236091558047E-13</v>
      </c>
    </row>
    <row r="9" spans="2:30" ht="18.75" customHeight="1">
      <c r="B9" s="111"/>
      <c r="C9" s="2" t="s">
        <v>85</v>
      </c>
      <c r="E9" s="2">
        <f>2*2*2*2*2*2</f>
        <v>64</v>
      </c>
      <c r="G9" s="108"/>
      <c r="I9" s="2">
        <v>4</v>
      </c>
      <c r="J9" s="2"/>
      <c r="K9" s="108"/>
      <c r="L9" s="42"/>
      <c r="M9" s="108"/>
      <c r="O9" s="86" t="s">
        <v>133</v>
      </c>
      <c r="P9" s="61">
        <v>0</v>
      </c>
      <c r="Q9" s="62">
        <f>1200*LOG(Q3/Q5,2)</f>
        <v>-9.7750043269369336</v>
      </c>
      <c r="R9" s="62">
        <f t="shared" ref="R9:AB9" si="2">1200*LOG(R3/R5,2)</f>
        <v>3.9100017307747521</v>
      </c>
      <c r="S9" s="62">
        <f t="shared" si="2"/>
        <v>-5.8650025961626593</v>
      </c>
      <c r="T9" s="62">
        <f t="shared" si="2"/>
        <v>7.8200034615491756</v>
      </c>
      <c r="U9" s="62">
        <f t="shared" si="2"/>
        <v>-1.9550008653877775</v>
      </c>
      <c r="V9" s="62">
        <f t="shared" si="2"/>
        <v>11.730005192323979</v>
      </c>
      <c r="W9" s="62">
        <f t="shared" si="2"/>
        <v>1.9550008653868458</v>
      </c>
      <c r="X9" s="62">
        <f t="shared" si="2"/>
        <v>-7.8200034615504634</v>
      </c>
      <c r="Y9" s="62">
        <f t="shared" si="2"/>
        <v>5.8650025961615375</v>
      </c>
      <c r="Z9" s="62">
        <f t="shared" si="2"/>
        <v>19.55000865387375</v>
      </c>
      <c r="AA9" s="62">
        <f t="shared" si="2"/>
        <v>9.7750043269364095</v>
      </c>
      <c r="AB9" s="63">
        <f t="shared" si="2"/>
        <v>23.460010384648257</v>
      </c>
    </row>
    <row r="10" spans="2:30">
      <c r="O10" s="64"/>
      <c r="P10" s="2"/>
    </row>
    <row r="11" spans="2:30" ht="19.5" customHeight="1" thickBot="1">
      <c r="B11" s="111" t="s">
        <v>72</v>
      </c>
      <c r="C11" s="9" t="s">
        <v>82</v>
      </c>
      <c r="E11" s="9">
        <v>27</v>
      </c>
      <c r="G11" s="108">
        <f>E11/E12</f>
        <v>1.6875</v>
      </c>
      <c r="I11" s="9">
        <v>5</v>
      </c>
      <c r="J11" s="5"/>
      <c r="K11" s="108">
        <f>I11/I12</f>
        <v>1.6666666666666667</v>
      </c>
      <c r="L11" s="42"/>
      <c r="M11" s="108">
        <f>Y5</f>
        <v>1.6817928305074297</v>
      </c>
      <c r="O11" t="s">
        <v>108</v>
      </c>
    </row>
    <row r="12" spans="2:30" ht="18.75" customHeight="1">
      <c r="B12" s="111"/>
      <c r="C12" s="2" t="s">
        <v>84</v>
      </c>
      <c r="E12" s="2">
        <v>16</v>
      </c>
      <c r="G12" s="108"/>
      <c r="I12" s="2">
        <v>3</v>
      </c>
      <c r="J12" s="2"/>
      <c r="K12" s="108"/>
      <c r="L12" s="42"/>
      <c r="M12" s="108"/>
      <c r="O12" t="s">
        <v>109</v>
      </c>
    </row>
    <row r="14" spans="2:30" ht="19.5" customHeight="1" thickBot="1">
      <c r="B14" s="111" t="s">
        <v>71</v>
      </c>
      <c r="C14" s="9" t="s">
        <v>41</v>
      </c>
      <c r="E14" s="9">
        <v>9</v>
      </c>
      <c r="G14" s="108">
        <f>E14/E15</f>
        <v>1.125</v>
      </c>
      <c r="I14" s="9">
        <v>9</v>
      </c>
      <c r="J14" s="5"/>
      <c r="K14" s="108">
        <f>I14/I15</f>
        <v>1.125</v>
      </c>
      <c r="L14" s="42"/>
      <c r="M14" s="108">
        <f>R5</f>
        <v>1.122462048309373</v>
      </c>
      <c r="O14" t="s">
        <v>111</v>
      </c>
      <c r="P14" s="52">
        <f>LOG(81/80,2)*1200</f>
        <v>21.50628959671478</v>
      </c>
      <c r="Q14" t="s">
        <v>112</v>
      </c>
      <c r="R14" t="s">
        <v>114</v>
      </c>
    </row>
    <row r="15" spans="2:30" ht="18.75" customHeight="1">
      <c r="B15" s="111"/>
      <c r="C15" s="2" t="s">
        <v>81</v>
      </c>
      <c r="E15" s="2">
        <v>8</v>
      </c>
      <c r="G15" s="108"/>
      <c r="I15" s="2">
        <v>8</v>
      </c>
      <c r="J15" s="2"/>
      <c r="K15" s="108"/>
      <c r="L15" s="42"/>
      <c r="M15" s="108"/>
      <c r="O15" t="s">
        <v>113</v>
      </c>
      <c r="P15" s="53">
        <f>AB9</f>
        <v>23.460010384648257</v>
      </c>
      <c r="Q15" t="s">
        <v>112</v>
      </c>
      <c r="R15" t="s">
        <v>145</v>
      </c>
    </row>
    <row r="16" spans="2:30">
      <c r="Z16">
        <v>15</v>
      </c>
      <c r="AA16">
        <v>24</v>
      </c>
      <c r="AC16">
        <v>3</v>
      </c>
      <c r="AD16">
        <v>3</v>
      </c>
    </row>
    <row r="17" spans="2:30" ht="19.5" customHeight="1" thickBot="1">
      <c r="B17" s="111" t="s">
        <v>70</v>
      </c>
      <c r="C17" s="9">
        <v>3</v>
      </c>
      <c r="E17" s="9">
        <v>3</v>
      </c>
      <c r="G17" s="108">
        <f>C17/C18</f>
        <v>1.5</v>
      </c>
      <c r="I17" s="9">
        <v>3</v>
      </c>
      <c r="J17" s="5"/>
      <c r="K17" s="108">
        <f>I17/I18</f>
        <v>1.5</v>
      </c>
      <c r="L17" s="42"/>
      <c r="M17" s="108">
        <f>W5</f>
        <v>1.498307076876682</v>
      </c>
      <c r="O17" s="65" t="s">
        <v>116</v>
      </c>
      <c r="P17" s="66">
        <v>2</v>
      </c>
      <c r="Q17" s="55" t="s">
        <v>112</v>
      </c>
      <c r="R17" t="s">
        <v>119</v>
      </c>
      <c r="Z17">
        <v>16</v>
      </c>
      <c r="AA17">
        <v>25</v>
      </c>
      <c r="AC17">
        <v>5</v>
      </c>
      <c r="AD17">
        <v>2</v>
      </c>
    </row>
    <row r="18" spans="2:30" ht="18.75" customHeight="1">
      <c r="B18" s="111"/>
      <c r="C18" s="2">
        <v>2</v>
      </c>
      <c r="E18" s="2">
        <v>2</v>
      </c>
      <c r="G18" s="108"/>
      <c r="I18" s="2">
        <v>2</v>
      </c>
      <c r="J18" s="2"/>
      <c r="K18" s="108"/>
      <c r="L18" s="42"/>
      <c r="M18" s="108"/>
      <c r="O18" s="56" t="s">
        <v>115</v>
      </c>
      <c r="P18" s="67">
        <v>0</v>
      </c>
      <c r="Q18" s="68" t="s">
        <v>112</v>
      </c>
    </row>
    <row r="19" spans="2:30">
      <c r="O19" s="56" t="s">
        <v>118</v>
      </c>
      <c r="P19" s="67">
        <v>-2</v>
      </c>
      <c r="Q19" s="68" t="s">
        <v>112</v>
      </c>
      <c r="R19" t="s">
        <v>120</v>
      </c>
    </row>
    <row r="20" spans="2:30" ht="15.75" thickBot="1">
      <c r="B20" s="112" t="s">
        <v>69</v>
      </c>
      <c r="C20" s="9">
        <v>1</v>
      </c>
      <c r="E20" s="9">
        <v>1</v>
      </c>
      <c r="G20" s="108">
        <v>1</v>
      </c>
      <c r="I20" s="9">
        <v>1</v>
      </c>
      <c r="J20" s="5"/>
      <c r="K20" s="108">
        <f>I20/I21</f>
        <v>1</v>
      </c>
      <c r="L20" s="42"/>
      <c r="M20" s="108">
        <f>P5</f>
        <v>1</v>
      </c>
      <c r="O20" s="60" t="s">
        <v>117</v>
      </c>
      <c r="P20" s="69">
        <v>-3.9</v>
      </c>
      <c r="Q20" s="70" t="s">
        <v>112</v>
      </c>
      <c r="R20" t="s">
        <v>120</v>
      </c>
    </row>
    <row r="21" spans="2:30">
      <c r="B21" s="112"/>
      <c r="C21" s="2">
        <v>1</v>
      </c>
      <c r="E21" s="2">
        <v>1</v>
      </c>
      <c r="G21" s="108"/>
      <c r="I21" s="2">
        <v>1</v>
      </c>
      <c r="J21" s="2"/>
      <c r="K21" s="108"/>
      <c r="L21" s="42"/>
      <c r="M21" s="108"/>
    </row>
    <row r="23" spans="2:30" ht="15.75" thickBot="1">
      <c r="B23" s="111" t="s">
        <v>80</v>
      </c>
      <c r="C23" s="9" t="s">
        <v>44</v>
      </c>
      <c r="E23" s="9">
        <v>4</v>
      </c>
      <c r="G23" s="108">
        <f>E23/E24</f>
        <v>1.3333333333333333</v>
      </c>
      <c r="I23" s="9">
        <v>4</v>
      </c>
      <c r="J23" s="5"/>
      <c r="K23" s="108">
        <f>I23/I24</f>
        <v>1.3333333333333333</v>
      </c>
      <c r="L23" s="42"/>
      <c r="M23" s="108">
        <f>U5</f>
        <v>1.3348398541700346</v>
      </c>
    </row>
    <row r="24" spans="2:30">
      <c r="B24" s="111"/>
      <c r="C24" s="2">
        <v>3</v>
      </c>
      <c r="E24" s="2">
        <v>3</v>
      </c>
      <c r="G24" s="108"/>
      <c r="I24" s="2">
        <v>3</v>
      </c>
      <c r="J24" s="2"/>
      <c r="K24" s="108"/>
      <c r="L24" s="42"/>
      <c r="M24" s="108"/>
    </row>
    <row r="26" spans="2:30" ht="15.75" thickBot="1">
      <c r="B26" s="111" t="s">
        <v>79</v>
      </c>
      <c r="C26" s="9" t="s">
        <v>84</v>
      </c>
      <c r="D26" s="87"/>
      <c r="E26" s="9">
        <f>2^4</f>
        <v>16</v>
      </c>
      <c r="G26" s="108">
        <f>E26/E27</f>
        <v>1.7777777777777777</v>
      </c>
      <c r="I26" s="9">
        <v>9</v>
      </c>
      <c r="J26" s="5"/>
      <c r="K26" s="108">
        <f>I26/I27</f>
        <v>1.8</v>
      </c>
      <c r="L26" s="88"/>
      <c r="M26" s="108">
        <f>Z5</f>
        <v>1.7817974362806792</v>
      </c>
    </row>
    <row r="27" spans="2:30">
      <c r="B27" s="111"/>
      <c r="C27" s="87" t="s">
        <v>41</v>
      </c>
      <c r="D27" s="87"/>
      <c r="E27" s="87">
        <f>3^2</f>
        <v>9</v>
      </c>
      <c r="G27" s="108"/>
      <c r="I27" s="87">
        <v>5</v>
      </c>
      <c r="J27" s="87"/>
      <c r="K27" s="108"/>
      <c r="L27" s="88"/>
      <c r="M27" s="108"/>
    </row>
    <row r="29" spans="2:30" ht="15.75" thickBot="1">
      <c r="B29" s="111" t="s">
        <v>78</v>
      </c>
      <c r="C29" s="9" t="s">
        <v>141</v>
      </c>
      <c r="E29" s="50">
        <f>2^5</f>
        <v>32</v>
      </c>
      <c r="G29" s="108">
        <f>E29/E30</f>
        <v>1.1851851851851851</v>
      </c>
      <c r="I29" s="9">
        <v>6</v>
      </c>
      <c r="J29" s="5"/>
      <c r="K29" s="108">
        <f>I29/I30</f>
        <v>1.2</v>
      </c>
      <c r="L29" s="42"/>
      <c r="M29" s="108">
        <f>S5</f>
        <v>1.1892071150027212</v>
      </c>
    </row>
    <row r="30" spans="2:30">
      <c r="B30" s="111"/>
      <c r="C30" s="87" t="s">
        <v>82</v>
      </c>
      <c r="E30" s="51">
        <f>3^3</f>
        <v>27</v>
      </c>
      <c r="G30" s="108"/>
      <c r="I30" s="2">
        <v>5</v>
      </c>
      <c r="J30" s="2"/>
      <c r="K30" s="108"/>
      <c r="L30" s="42"/>
      <c r="M30" s="108"/>
    </row>
    <row r="32" spans="2:30" ht="15.75" thickBot="1">
      <c r="B32" s="111" t="s">
        <v>77</v>
      </c>
      <c r="C32" s="9" t="s">
        <v>94</v>
      </c>
      <c r="E32" s="50">
        <f>2^7</f>
        <v>128</v>
      </c>
      <c r="G32" s="108">
        <f>E32/E33</f>
        <v>1.5802469135802468</v>
      </c>
      <c r="I32" s="9">
        <v>8</v>
      </c>
      <c r="M32" s="108">
        <f>X5</f>
        <v>1.5874010519682</v>
      </c>
    </row>
    <row r="33" spans="2:14">
      <c r="B33" s="111"/>
      <c r="C33" s="87" t="s">
        <v>83</v>
      </c>
      <c r="E33" s="51">
        <f>3^4</f>
        <v>81</v>
      </c>
      <c r="G33" s="108"/>
      <c r="I33" s="89">
        <v>5</v>
      </c>
      <c r="M33" s="108"/>
    </row>
    <row r="35" spans="2:14" ht="15.75" thickBot="1">
      <c r="B35" s="111" t="s">
        <v>76</v>
      </c>
      <c r="C35" s="9" t="s">
        <v>144</v>
      </c>
      <c r="E35" s="50">
        <f>2^8</f>
        <v>256</v>
      </c>
      <c r="G35" s="108">
        <f>E35/E36</f>
        <v>1.0534979423868314</v>
      </c>
      <c r="I35" s="9">
        <v>16</v>
      </c>
      <c r="M35" s="108">
        <f>Q5</f>
        <v>1.0594630943592953</v>
      </c>
    </row>
    <row r="36" spans="2:14">
      <c r="B36" s="111"/>
      <c r="C36" s="87" t="s">
        <v>86</v>
      </c>
      <c r="E36" s="51">
        <f>3^5</f>
        <v>243</v>
      </c>
      <c r="G36" s="108"/>
      <c r="I36" s="89">
        <v>15</v>
      </c>
      <c r="M36" s="108"/>
    </row>
    <row r="38" spans="2:14" ht="15.75" thickBot="1">
      <c r="B38" s="111" t="s">
        <v>142</v>
      </c>
      <c r="C38" s="9" t="s">
        <v>143</v>
      </c>
      <c r="D38" s="87"/>
      <c r="E38" s="50">
        <f>2^10</f>
        <v>1024</v>
      </c>
      <c r="G38" s="108">
        <f>E38/E39</f>
        <v>1.4046639231824416</v>
      </c>
      <c r="I38" s="9">
        <v>7</v>
      </c>
    </row>
    <row r="39" spans="2:14">
      <c r="B39" s="111"/>
      <c r="C39" s="87" t="s">
        <v>93</v>
      </c>
      <c r="D39" s="87"/>
      <c r="E39" s="51">
        <f>3^6</f>
        <v>729</v>
      </c>
      <c r="G39" s="108"/>
      <c r="I39" s="89">
        <v>5</v>
      </c>
    </row>
    <row r="41" spans="2:14">
      <c r="B41" s="28" t="s">
        <v>157</v>
      </c>
      <c r="C41">
        <f>2^19</f>
        <v>524288</v>
      </c>
      <c r="D41" s="108" t="s">
        <v>156</v>
      </c>
      <c r="E41" s="108">
        <f>E39*E2/(E38*E3)</f>
        <v>1.0136432647705078</v>
      </c>
    </row>
    <row r="42" spans="2:14">
      <c r="B42" s="28" t="s">
        <v>158</v>
      </c>
      <c r="C42">
        <f>3^12</f>
        <v>531441</v>
      </c>
      <c r="D42" s="108"/>
      <c r="E42" s="108"/>
      <c r="G42">
        <f>1200*LOG(C42/C41,2)</f>
        <v>23.460010384649014</v>
      </c>
    </row>
    <row r="45" spans="2:14">
      <c r="N45" s="42"/>
    </row>
    <row r="46" spans="2:14">
      <c r="N46" s="42"/>
    </row>
    <row r="47" spans="2:14" ht="18.75">
      <c r="B47" s="71"/>
    </row>
    <row r="48" spans="2:14">
      <c r="N48" s="42"/>
    </row>
    <row r="49" spans="2:14">
      <c r="N49" s="42"/>
    </row>
    <row r="50" spans="2:14" ht="18.75">
      <c r="B50" s="71"/>
    </row>
    <row r="51" spans="2:14">
      <c r="N51" s="42"/>
    </row>
    <row r="52" spans="2:14">
      <c r="N52" s="42"/>
    </row>
    <row r="53" spans="2:14" ht="18.75">
      <c r="B53" s="71"/>
    </row>
    <row r="54" spans="2:14">
      <c r="N54" s="42"/>
    </row>
    <row r="55" spans="2:14">
      <c r="N55" s="42"/>
    </row>
    <row r="56" spans="2:14" ht="18.75">
      <c r="B56" s="71"/>
    </row>
    <row r="57" spans="2:14">
      <c r="N57" s="42"/>
    </row>
    <row r="58" spans="2:14">
      <c r="N58" s="42"/>
    </row>
    <row r="59" spans="2:14" ht="18.75">
      <c r="B59" s="71"/>
      <c r="M59" s="42"/>
      <c r="N59" s="42"/>
    </row>
    <row r="60" spans="2:14">
      <c r="N60" s="42"/>
    </row>
    <row r="61" spans="2:14">
      <c r="N61" s="42"/>
    </row>
    <row r="62" spans="2:14" ht="18.75">
      <c r="B62" s="71"/>
    </row>
    <row r="63" spans="2:14">
      <c r="N63" s="42"/>
    </row>
    <row r="64" spans="2:14">
      <c r="N64" s="42"/>
    </row>
    <row r="65" spans="2:14" ht="18.75">
      <c r="B65" s="71"/>
      <c r="G65" s="42"/>
    </row>
    <row r="66" spans="2:14">
      <c r="N66" s="42"/>
    </row>
    <row r="67" spans="2:14">
      <c r="N67" s="42"/>
    </row>
    <row r="68" spans="2:14" ht="18.75">
      <c r="B68" s="71"/>
    </row>
    <row r="69" spans="2:14">
      <c r="N69" s="42"/>
    </row>
    <row r="70" spans="2:14">
      <c r="N70" s="42"/>
    </row>
    <row r="72" spans="2:14">
      <c r="N72" s="42"/>
    </row>
    <row r="73" spans="2:14">
      <c r="N73" s="42"/>
    </row>
    <row r="75" spans="2:14">
      <c r="N75" s="42"/>
    </row>
    <row r="76" spans="2:14">
      <c r="N76" s="42"/>
    </row>
    <row r="77" spans="2:14" ht="18.75">
      <c r="B77" s="71"/>
    </row>
    <row r="78" spans="2:14" ht="15.75" thickBot="1">
      <c r="B78" s="111" t="s">
        <v>79</v>
      </c>
      <c r="C78" s="2" t="s">
        <v>95</v>
      </c>
      <c r="E78" s="50">
        <f>3*3*3*3*3*3*3*3*3*3</f>
        <v>59049</v>
      </c>
      <c r="G78" s="108">
        <f>E78/E79</f>
        <v>1.802032470703125</v>
      </c>
      <c r="I78" s="9">
        <v>9</v>
      </c>
      <c r="J78" s="5"/>
      <c r="K78" s="108">
        <f>I78/I79</f>
        <v>1.8</v>
      </c>
      <c r="L78" s="42"/>
      <c r="M78" s="108">
        <f>Z5</f>
        <v>1.7817974362806792</v>
      </c>
      <c r="N78" s="42"/>
    </row>
    <row r="79" spans="2:14">
      <c r="B79" s="111"/>
      <c r="C79" s="2" t="s">
        <v>96</v>
      </c>
      <c r="E79" s="51">
        <f>2*2*2*2*2*2*2*2*2*2*2*2*2*2*2</f>
        <v>32768</v>
      </c>
      <c r="G79" s="108"/>
      <c r="I79" s="2">
        <v>5</v>
      </c>
      <c r="J79" s="2"/>
      <c r="K79" s="108"/>
      <c r="L79" s="42"/>
      <c r="M79" s="108"/>
      <c r="N79" s="42"/>
    </row>
    <row r="80" spans="2:14" ht="18.75">
      <c r="B80" s="71"/>
    </row>
    <row r="81" spans="2:14" ht="15.75" thickBot="1">
      <c r="B81" s="111" t="s">
        <v>80</v>
      </c>
      <c r="C81" s="2" t="s">
        <v>97</v>
      </c>
      <c r="E81" s="50">
        <f>3*3*3*3*3*3*3*3*3*3*3</f>
        <v>177147</v>
      </c>
      <c r="G81" s="108">
        <f>E81/E82</f>
        <v>1.3515243530273437</v>
      </c>
      <c r="I81" s="9">
        <v>4</v>
      </c>
      <c r="J81" s="5"/>
      <c r="K81" s="108">
        <f>I81/I82</f>
        <v>1.3333333333333333</v>
      </c>
      <c r="L81" s="42"/>
      <c r="M81" s="108">
        <f>U5</f>
        <v>1.3348398541700346</v>
      </c>
      <c r="N81" s="42"/>
    </row>
    <row r="82" spans="2:14">
      <c r="B82" s="111"/>
      <c r="C82" s="2" t="s">
        <v>99</v>
      </c>
      <c r="E82" s="51">
        <f>2*2*2*2*2*2*2*2*2*2*2*2*2*2*2*2*2</f>
        <v>131072</v>
      </c>
      <c r="G82" s="108"/>
      <c r="I82" s="2">
        <v>3</v>
      </c>
      <c r="J82" s="2"/>
      <c r="K82" s="108"/>
      <c r="L82" s="42"/>
      <c r="M82" s="108"/>
      <c r="N82" s="42"/>
    </row>
    <row r="83" spans="2:14" ht="18.75">
      <c r="B83" s="71"/>
    </row>
    <row r="84" spans="2:14" ht="15.75" thickBot="1">
      <c r="B84" s="111" t="s">
        <v>69</v>
      </c>
      <c r="C84" s="2" t="s">
        <v>98</v>
      </c>
      <c r="E84" s="50">
        <f>3*3*3*3*3*3*3*3*3*3*3*3</f>
        <v>531441</v>
      </c>
      <c r="G84" s="108">
        <f>E84/E85</f>
        <v>2.0272865295410156</v>
      </c>
      <c r="I84" s="9">
        <v>2</v>
      </c>
      <c r="J84" s="5"/>
      <c r="K84" s="108">
        <f>I84/I85</f>
        <v>2</v>
      </c>
      <c r="L84" s="42"/>
      <c r="M84" s="108">
        <f>AB5</f>
        <v>2.0000000000000009</v>
      </c>
      <c r="N84" s="42"/>
    </row>
    <row r="85" spans="2:14">
      <c r="B85" s="111"/>
      <c r="C85" s="2" t="s">
        <v>100</v>
      </c>
      <c r="E85" s="51">
        <f>2*2*2*2*2*2*2*2*2*2*2*2*2*2*2*2*2*2</f>
        <v>262144</v>
      </c>
      <c r="G85" s="108"/>
      <c r="I85" s="2">
        <v>1</v>
      </c>
      <c r="J85" s="2"/>
      <c r="K85" s="108"/>
      <c r="L85" s="42"/>
      <c r="M85" s="108"/>
      <c r="N85" s="42"/>
    </row>
  </sheetData>
  <mergeCells count="61">
    <mergeCell ref="G23:G24"/>
    <mergeCell ref="G2:G3"/>
    <mergeCell ref="G35:G36"/>
    <mergeCell ref="G32:G33"/>
    <mergeCell ref="G29:G30"/>
    <mergeCell ref="G5:G6"/>
    <mergeCell ref="G20:G21"/>
    <mergeCell ref="G17:G18"/>
    <mergeCell ref="G14:G15"/>
    <mergeCell ref="G11:G12"/>
    <mergeCell ref="G8:G9"/>
    <mergeCell ref="K23:K24"/>
    <mergeCell ref="K20:K21"/>
    <mergeCell ref="K17:K18"/>
    <mergeCell ref="K14:K15"/>
    <mergeCell ref="K11:K12"/>
    <mergeCell ref="M23:M24"/>
    <mergeCell ref="M20:M21"/>
    <mergeCell ref="M17:M18"/>
    <mergeCell ref="M14:M15"/>
    <mergeCell ref="M11:M12"/>
    <mergeCell ref="B8:B9"/>
    <mergeCell ref="B5:B6"/>
    <mergeCell ref="B2:B3"/>
    <mergeCell ref="M5:M6"/>
    <mergeCell ref="M2:M3"/>
    <mergeCell ref="M8:M9"/>
    <mergeCell ref="K8:K9"/>
    <mergeCell ref="K5:K6"/>
    <mergeCell ref="B20:B21"/>
    <mergeCell ref="B23:B24"/>
    <mergeCell ref="B17:B18"/>
    <mergeCell ref="B14:B15"/>
    <mergeCell ref="B11:B12"/>
    <mergeCell ref="B78:B79"/>
    <mergeCell ref="B81:B82"/>
    <mergeCell ref="B84:B85"/>
    <mergeCell ref="M81:M82"/>
    <mergeCell ref="M84:M85"/>
    <mergeCell ref="M78:M79"/>
    <mergeCell ref="K78:K79"/>
    <mergeCell ref="K81:K82"/>
    <mergeCell ref="K84:K85"/>
    <mergeCell ref="G78:G79"/>
    <mergeCell ref="G81:G82"/>
    <mergeCell ref="G84:G85"/>
    <mergeCell ref="M26:M27"/>
    <mergeCell ref="B38:B39"/>
    <mergeCell ref="G38:G39"/>
    <mergeCell ref="B35:B36"/>
    <mergeCell ref="B32:B33"/>
    <mergeCell ref="B29:B30"/>
    <mergeCell ref="M35:M36"/>
    <mergeCell ref="M32:M33"/>
    <mergeCell ref="M29:M30"/>
    <mergeCell ref="K29:K30"/>
    <mergeCell ref="E41:E42"/>
    <mergeCell ref="D41:D42"/>
    <mergeCell ref="B26:B27"/>
    <mergeCell ref="G26:G27"/>
    <mergeCell ref="K26:K27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B2" sqref="B2:C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Just scale</vt:lpstr>
      <vt:lpstr>Pythagoreisk</vt:lpstr>
      <vt:lpstr>Tempereret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Ole.Quistgaard</dc:creator>
  <cp:lastModifiedBy>Amicom Admin</cp:lastModifiedBy>
  <dcterms:created xsi:type="dcterms:W3CDTF">2015-10-19T12:31:52Z</dcterms:created>
  <dcterms:modified xsi:type="dcterms:W3CDTF">2015-10-31T20:01:17Z</dcterms:modified>
</cp:coreProperties>
</file>